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7460" windowHeight="3750"/>
  </bookViews>
  <sheets>
    <sheet name="Calcs" sheetId="5" r:id="rId1"/>
  </sheets>
  <definedNames>
    <definedName name="plantsize">#REF!</definedName>
    <definedName name="uptime">#REF!</definedName>
  </definedNames>
  <calcPr calcId="145621"/>
</workbook>
</file>

<file path=xl/calcChain.xml><?xml version="1.0" encoding="utf-8"?>
<calcChain xmlns="http://schemas.openxmlformats.org/spreadsheetml/2006/main">
  <c r="C5" i="5" l="1"/>
  <c r="N5" i="5" l="1"/>
  <c r="B5" i="5"/>
  <c r="B13" i="5" l="1"/>
  <c r="B12" i="5"/>
  <c r="B11" i="5"/>
  <c r="B10" i="5"/>
  <c r="B9" i="5"/>
  <c r="E12" i="5"/>
  <c r="E11" i="5"/>
  <c r="E10" i="5"/>
  <c r="E9" i="5"/>
  <c r="E13" i="5"/>
  <c r="U10" i="5"/>
  <c r="AE10" i="5" s="1"/>
  <c r="U11" i="5"/>
  <c r="AE11" i="5" s="1"/>
  <c r="U12" i="5"/>
  <c r="AE12" i="5" s="1"/>
  <c r="U13" i="5"/>
  <c r="AE13" i="5" s="1"/>
  <c r="U9" i="5"/>
  <c r="AE9" i="5" s="1"/>
  <c r="D10" i="5" l="1"/>
  <c r="D11" i="5"/>
  <c r="D12" i="5"/>
  <c r="D13" i="5"/>
  <c r="D9" i="5"/>
  <c r="G12" i="5"/>
  <c r="G11" i="5"/>
  <c r="G10" i="5"/>
  <c r="G9" i="5"/>
  <c r="G13" i="5"/>
  <c r="P12" i="5" l="1"/>
  <c r="AD12" i="5"/>
  <c r="Y12" i="5" s="1"/>
  <c r="AD9" i="5" l="1"/>
  <c r="Y9" i="5" s="1"/>
  <c r="AD10" i="5"/>
  <c r="Y10" i="5" s="1"/>
  <c r="AD13" i="5"/>
  <c r="Y13" i="5" s="1"/>
  <c r="AD11" i="5"/>
  <c r="Y11" i="5" s="1"/>
  <c r="P10" i="5" l="1"/>
  <c r="V5" i="5" l="1"/>
  <c r="Y5" i="5"/>
  <c r="U5" i="5"/>
  <c r="X5" i="5"/>
  <c r="P13" i="5"/>
  <c r="P9" i="5"/>
  <c r="P11" i="5"/>
  <c r="W13" i="5" l="1"/>
  <c r="W5" i="5"/>
  <c r="W10" i="5"/>
  <c r="W9" i="5"/>
  <c r="W11" i="5"/>
  <c r="W12" i="5"/>
  <c r="T5" i="5" l="1"/>
  <c r="AA5" i="5" s="1"/>
  <c r="AB5" i="5" s="1"/>
  <c r="L9" i="5"/>
  <c r="L11" i="5"/>
  <c r="L12" i="5"/>
  <c r="L10" i="5"/>
  <c r="L13" i="5"/>
  <c r="T12" i="5" l="1"/>
  <c r="T13" i="5"/>
  <c r="H13" i="5" s="1"/>
  <c r="T10" i="5"/>
  <c r="H10" i="5" s="1"/>
  <c r="T11" i="5"/>
  <c r="H11" i="5" s="1"/>
  <c r="Z5" i="5"/>
  <c r="T9" i="5"/>
  <c r="H9" i="5" s="1"/>
  <c r="H12" i="5" l="1"/>
  <c r="AB12" i="5" s="1"/>
  <c r="AC12" i="5" s="1"/>
  <c r="Z12" i="5"/>
  <c r="I10" i="5"/>
  <c r="I13" i="5"/>
  <c r="I11" i="5"/>
  <c r="K11" i="5" s="1"/>
  <c r="AB11" i="5"/>
  <c r="AC11" i="5" s="1"/>
  <c r="X9" i="5"/>
  <c r="X10" i="5"/>
  <c r="J5" i="5"/>
  <c r="V10" i="5"/>
  <c r="Z10" i="5"/>
  <c r="Z9" i="5"/>
  <c r="V13" i="5"/>
  <c r="V9" i="5"/>
  <c r="X13" i="5"/>
  <c r="X12" i="5"/>
  <c r="V12" i="5"/>
  <c r="N12" i="5" s="1"/>
  <c r="Z13" i="5"/>
  <c r="Z11" i="5"/>
  <c r="V11" i="5"/>
  <c r="N11" i="5" s="1"/>
  <c r="X11" i="5"/>
  <c r="AA10" i="5" l="1"/>
  <c r="N10" i="5"/>
  <c r="O10" i="5" s="1"/>
  <c r="N9" i="5"/>
  <c r="O9" i="5" s="1"/>
  <c r="AA13" i="5"/>
  <c r="N13" i="5"/>
  <c r="O13" i="5" s="1"/>
  <c r="I12" i="5"/>
  <c r="K12" i="5" s="1"/>
  <c r="L5" i="5"/>
  <c r="P5" i="5" s="1"/>
  <c r="R5" i="5" s="1"/>
  <c r="K10" i="5"/>
  <c r="AB10" i="5"/>
  <c r="AC10" i="5" s="1"/>
  <c r="I9" i="5"/>
  <c r="K9" i="5" s="1"/>
  <c r="AB9" i="5"/>
  <c r="AC9" i="5" s="1"/>
  <c r="AB13" i="5"/>
  <c r="AC13" i="5" s="1"/>
  <c r="K13" i="5"/>
  <c r="AA9" i="5"/>
  <c r="AA11" i="5"/>
  <c r="O11" i="5"/>
  <c r="O12" i="5"/>
  <c r="AA12" i="5"/>
  <c r="Q9" i="5" l="1"/>
  <c r="R9" i="5" s="1"/>
  <c r="Q10" i="5"/>
  <c r="R10" i="5" s="1"/>
  <c r="Q12" i="5"/>
  <c r="R12" i="5" s="1"/>
  <c r="Q11" i="5"/>
  <c r="R11" i="5" s="1"/>
  <c r="Q13" i="5"/>
  <c r="R13" i="5" s="1"/>
</calcChain>
</file>

<file path=xl/sharedStrings.xml><?xml version="1.0" encoding="utf-8"?>
<sst xmlns="http://schemas.openxmlformats.org/spreadsheetml/2006/main" count="102" uniqueCount="65">
  <si>
    <t>MW</t>
  </si>
  <si>
    <t>$/t</t>
  </si>
  <si>
    <t>$/gal</t>
  </si>
  <si>
    <t>$/mcf</t>
  </si>
  <si>
    <t>$M/yr</t>
  </si>
  <si>
    <t>$/MWh</t>
  </si>
  <si>
    <t>O2 
sales</t>
  </si>
  <si>
    <t>bbl/d</t>
  </si>
  <si>
    <t>MGal/yr</t>
  </si>
  <si>
    <t>t/d</t>
  </si>
  <si>
    <t>Net Annual
Costs</t>
  </si>
  <si>
    <t>kt/yr</t>
  </si>
  <si>
    <t>O2 price</t>
  </si>
  <si>
    <t>O2 output</t>
  </si>
  <si>
    <t>$M</t>
  </si>
  <si>
    <t>R&amp;D</t>
  </si>
  <si>
    <t>Interest</t>
  </si>
  <si>
    <t>Fuels</t>
  </si>
  <si>
    <t>Annual O&amp;M
Costs</t>
  </si>
  <si>
    <t>Net Cost of 
Fuels</t>
  </si>
  <si>
    <t>%</t>
  </si>
  <si>
    <t>Energy
from
Wind</t>
  </si>
  <si>
    <t>C in</t>
  </si>
  <si>
    <t>years</t>
  </si>
  <si>
    <t>rate, %</t>
  </si>
  <si>
    <t>Electro-lyzer effic</t>
  </si>
  <si>
    <t>kg/s</t>
  </si>
  <si>
    <t>P, MW</t>
  </si>
  <si>
    <t>NG</t>
  </si>
  <si>
    <t>NG
input
P</t>
  </si>
  <si>
    <t>loan</t>
  </si>
  <si>
    <t>Electro-
lysis
H2O
in</t>
  </si>
  <si>
    <t>FT H2O</t>
  </si>
  <si>
    <t>H out</t>
  </si>
  <si>
    <t>out</t>
  </si>
  <si>
    <t>C out</t>
  </si>
  <si>
    <t>Electro-
lysis
O2</t>
  </si>
  <si>
    <t>CARMA
O2
In</t>
  </si>
  <si>
    <t>Fuels-H</t>
  </si>
  <si>
    <t>t-H2/ day</t>
  </si>
  <si>
    <t>RWGS 
H2</t>
  </si>
  <si>
    <t>Electrolyzer</t>
  </si>
  <si>
    <t>Capital</t>
  </si>
  <si>
    <t>Total</t>
  </si>
  <si>
    <t>Process Plant</t>
  </si>
  <si>
    <t>Electro-lyzer Meth 2 P</t>
  </si>
  <si>
    <t>Peak Rating</t>
  </si>
  <si>
    <t xml:space="preserve"> Wind Electricity (Instantaneous)</t>
  </si>
  <si>
    <t>HHV effic., %</t>
  </si>
  <si>
    <t>Cost, $M</t>
  </si>
  <si>
    <t>Shale Gas Input (94%CH4, 3%N2, 1.5%CO2, 1.5% other, mostly HCs)</t>
  </si>
  <si>
    <t>Typical System</t>
  </si>
  <si>
    <t>Process</t>
  </si>
  <si>
    <t>fuel gas</t>
  </si>
  <si>
    <t xml:space="preserve">P, MW </t>
  </si>
  <si>
    <t xml:space="preserve">Electro
kWhr/ 
kg-H2 </t>
  </si>
  <si>
    <t>of Capital</t>
  </si>
  <si>
    <t>Annual Cost</t>
  </si>
  <si>
    <t>C bal</t>
  </si>
  <si>
    <t>Fuel gas</t>
  </si>
  <si>
    <t xml:space="preserve">    Excel-based Calculator (Simplified Model) for Big Plants (30-300 Mgal/yr)</t>
  </si>
  <si>
    <t>Operating point system
effic.</t>
  </si>
  <si>
    <t>typ. C out</t>
  </si>
  <si>
    <t>typ C out</t>
  </si>
  <si>
    <t>Extra CO2 Purchased
(metric:  t/d=tonne/day)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</si>
</sst>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\ ;\(&quot;$&quot;#,##0\)"/>
    <numFmt numFmtId="165" formatCode="0.0"/>
    <numFmt numFmtId="166" formatCode="0.000"/>
    <numFmt numFmtId="167" formatCode="0.0000"/>
    <numFmt numFmtId="168" formatCode="0.0E+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14">
    <xf numFmtId="0" fontId="0" fillId="0" borderId="0" xfId="0"/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3" borderId="0" xfId="0" applyNumberFormat="1" applyFont="1" applyFill="1" applyBorder="1" applyAlignment="1" applyProtection="1">
      <alignment horizontal="center" vertical="center"/>
      <protection locked="0"/>
    </xf>
    <xf numFmtId="2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</xf>
    <xf numFmtId="166" fontId="2" fillId="2" borderId="0" xfId="0" applyNumberFormat="1" applyFont="1" applyFill="1" applyBorder="1" applyAlignment="1" applyProtection="1">
      <alignment horizontal="center" vertical="center"/>
    </xf>
    <xf numFmtId="2" fontId="2" fillId="2" borderId="0" xfId="0" applyNumberFormat="1" applyFont="1" applyFill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168" fontId="4" fillId="2" borderId="0" xfId="0" applyNumberFormat="1" applyFont="1" applyFill="1" applyBorder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center"/>
    </xf>
    <xf numFmtId="165" fontId="2" fillId="4" borderId="0" xfId="0" applyNumberFormat="1" applyFont="1" applyFill="1" applyAlignment="1" applyProtection="1">
      <alignment horizont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65" fontId="2" fillId="3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</xf>
    <xf numFmtId="1" fontId="2" fillId="2" borderId="7" xfId="0" applyNumberFormat="1" applyFont="1" applyFill="1" applyBorder="1" applyAlignment="1" applyProtection="1">
      <alignment horizontal="center" vertical="center"/>
    </xf>
    <xf numFmtId="165" fontId="2" fillId="3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165" fontId="2" fillId="2" borderId="7" xfId="0" applyNumberFormat="1" applyFont="1" applyFill="1" applyBorder="1" applyAlignment="1" applyProtection="1">
      <alignment horizontal="center" vertical="center"/>
    </xf>
    <xf numFmtId="165" fontId="2" fillId="0" borderId="8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</xf>
    <xf numFmtId="2" fontId="2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165" fontId="2" fillId="2" borderId="3" xfId="0" applyNumberFormat="1" applyFont="1" applyFill="1" applyBorder="1" applyAlignment="1" applyProtection="1">
      <alignment horizontal="center"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/>
    </xf>
    <xf numFmtId="165" fontId="2" fillId="2" borderId="4" xfId="0" applyNumberFormat="1" applyFont="1" applyFill="1" applyBorder="1" applyAlignment="1" applyProtection="1">
      <alignment horizontal="center" vertical="center"/>
    </xf>
    <xf numFmtId="2" fontId="2" fillId="2" borderId="5" xfId="0" applyNumberFormat="1" applyFont="1" applyFill="1" applyBorder="1" applyAlignment="1" applyProtection="1">
      <alignment horizontal="center" vertical="center"/>
    </xf>
    <xf numFmtId="165" fontId="2" fillId="2" borderId="5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</cellXfs>
  <cellStyles count="5">
    <cellStyle name="Comma0" xfId="1"/>
    <cellStyle name="Currency0" xfId="2"/>
    <cellStyle name="Date" xfId="3"/>
    <cellStyle name="Fixed" xf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66"/>
      <color rgb="FF66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="110" zoomScaleNormal="110" workbookViewId="0">
      <selection activeCell="D13" sqref="D13"/>
    </sheetView>
  </sheetViews>
  <sheetFormatPr defaultColWidth="9.140625" defaultRowHeight="15" x14ac:dyDescent="0.25"/>
  <cols>
    <col min="1" max="1" width="7.7109375" style="7" customWidth="1"/>
    <col min="2" max="2" width="6.5703125" style="2" customWidth="1"/>
    <col min="3" max="3" width="7.42578125" style="7" customWidth="1"/>
    <col min="4" max="4" width="7.42578125" style="1" customWidth="1"/>
    <col min="5" max="5" width="7.42578125" style="2" customWidth="1"/>
    <col min="6" max="6" width="7" style="7" customWidth="1"/>
    <col min="7" max="7" width="7.42578125" style="1" customWidth="1"/>
    <col min="8" max="8" width="6.7109375" style="2" customWidth="1"/>
    <col min="9" max="9" width="6.42578125" style="2" customWidth="1"/>
    <col min="10" max="10" width="6.85546875" style="7" customWidth="1"/>
    <col min="11" max="11" width="7.5703125" style="3" customWidth="1"/>
    <col min="12" max="12" width="10" style="1" customWidth="1"/>
    <col min="13" max="13" width="5.7109375" style="1" customWidth="1"/>
    <col min="14" max="14" width="7" style="2" customWidth="1"/>
    <col min="15" max="15" width="6.85546875" style="1" customWidth="1"/>
    <col min="16" max="16" width="9.140625" style="3" customWidth="1"/>
    <col min="17" max="17" width="7.28515625" style="1" customWidth="1"/>
    <col min="18" max="18" width="8.42578125" style="3" customWidth="1"/>
    <col min="19" max="19" width="3.42578125" customWidth="1"/>
    <col min="20" max="20" width="8.28515625" style="3" hidden="1" customWidth="1"/>
    <col min="21" max="21" width="7.85546875" style="7" hidden="1" customWidth="1"/>
    <col min="22" max="23" width="8" style="11" hidden="1" customWidth="1"/>
    <col min="24" max="24" width="7.5703125" style="10" hidden="1" customWidth="1"/>
    <col min="25" max="25" width="7.5703125" hidden="1" customWidth="1"/>
    <col min="26" max="26" width="8.42578125" style="8" hidden="1" customWidth="1"/>
    <col min="27" max="27" width="9.42578125" style="7" hidden="1" customWidth="1"/>
    <col min="28" max="28" width="9.140625" style="1" hidden="1" customWidth="1"/>
    <col min="29" max="29" width="7.85546875" style="1" hidden="1" customWidth="1"/>
    <col min="30" max="30" width="6.85546875" style="7" hidden="1" customWidth="1"/>
    <col min="31" max="31" width="8.42578125" style="7" hidden="1" customWidth="1"/>
    <col min="32" max="16384" width="9.140625" style="7"/>
  </cols>
  <sheetData>
    <row r="1" spans="1:32" s="13" customFormat="1" ht="14.25" x14ac:dyDescent="0.25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T1" s="12"/>
      <c r="V1" s="14"/>
      <c r="W1" s="14"/>
      <c r="X1" s="15"/>
      <c r="Y1" s="16"/>
      <c r="Z1" s="17"/>
      <c r="AB1" s="18"/>
      <c r="AC1" s="18"/>
      <c r="AF1" s="81"/>
    </row>
    <row r="2" spans="1:32" s="13" customFormat="1" ht="18" customHeight="1" x14ac:dyDescent="0.25">
      <c r="B2" s="20"/>
      <c r="D2" s="18"/>
      <c r="E2" s="20"/>
      <c r="G2" s="18"/>
      <c r="H2" s="20"/>
      <c r="I2" s="47"/>
      <c r="K2" s="19" t="s">
        <v>41</v>
      </c>
      <c r="L2" s="18"/>
      <c r="M2" s="83"/>
      <c r="N2" s="22" t="s">
        <v>44</v>
      </c>
      <c r="O2" s="18"/>
      <c r="P2" s="51" t="s">
        <v>43</v>
      </c>
      <c r="Q2" s="83"/>
      <c r="R2" s="21" t="s">
        <v>57</v>
      </c>
      <c r="T2" s="13" t="s">
        <v>52</v>
      </c>
      <c r="V2" s="20"/>
      <c r="W2" s="20"/>
      <c r="X2" s="20" t="s">
        <v>17</v>
      </c>
      <c r="Y2" s="20" t="s">
        <v>17</v>
      </c>
      <c r="Z2" s="13" t="s">
        <v>32</v>
      </c>
      <c r="AA2" s="13" t="s">
        <v>59</v>
      </c>
      <c r="AB2" s="13" t="s">
        <v>59</v>
      </c>
      <c r="AF2" s="81"/>
    </row>
    <row r="3" spans="1:32" s="13" customFormat="1" ht="18" customHeight="1" x14ac:dyDescent="0.2">
      <c r="A3" s="13" t="s">
        <v>17</v>
      </c>
      <c r="B3" s="81"/>
      <c r="C3" s="81" t="s">
        <v>17</v>
      </c>
      <c r="D3" s="83"/>
      <c r="E3" s="13" t="s">
        <v>51</v>
      </c>
      <c r="F3" s="20"/>
      <c r="G3" s="87" t="s">
        <v>16</v>
      </c>
      <c r="H3" s="80" t="s">
        <v>30</v>
      </c>
      <c r="I3" s="47"/>
      <c r="J3" s="18" t="s">
        <v>46</v>
      </c>
      <c r="K3" s="21"/>
      <c r="L3" s="18" t="s">
        <v>42</v>
      </c>
      <c r="M3" s="87"/>
      <c r="N3" s="83" t="s">
        <v>42</v>
      </c>
      <c r="O3" s="89" t="s">
        <v>15</v>
      </c>
      <c r="P3" s="87" t="s">
        <v>42</v>
      </c>
      <c r="Q3" s="83"/>
      <c r="R3" s="21" t="s">
        <v>56</v>
      </c>
      <c r="T3" s="17" t="s">
        <v>53</v>
      </c>
      <c r="U3" s="23" t="s">
        <v>17</v>
      </c>
      <c r="V3" s="23" t="s">
        <v>38</v>
      </c>
      <c r="W3" s="23" t="s">
        <v>17</v>
      </c>
      <c r="X3" s="24" t="s">
        <v>35</v>
      </c>
      <c r="Y3" s="25" t="s">
        <v>33</v>
      </c>
      <c r="Z3" s="13" t="s">
        <v>34</v>
      </c>
      <c r="AA3" s="13" t="s">
        <v>62</v>
      </c>
      <c r="AB3" s="13" t="s">
        <v>63</v>
      </c>
      <c r="AF3" s="81"/>
    </row>
    <row r="4" spans="1:32" s="13" customFormat="1" ht="18" customHeight="1" x14ac:dyDescent="0.2">
      <c r="A4" s="13" t="s">
        <v>7</v>
      </c>
      <c r="B4" s="81" t="s">
        <v>9</v>
      </c>
      <c r="C4" s="81" t="s">
        <v>8</v>
      </c>
      <c r="D4" s="83"/>
      <c r="E4" s="18" t="s">
        <v>48</v>
      </c>
      <c r="F4" s="20"/>
      <c r="G4" s="87" t="s">
        <v>24</v>
      </c>
      <c r="H4" s="81" t="s">
        <v>23</v>
      </c>
      <c r="I4" s="47"/>
      <c r="J4" s="83" t="s">
        <v>0</v>
      </c>
      <c r="K4" s="94"/>
      <c r="L4" s="83" t="s">
        <v>49</v>
      </c>
      <c r="M4" s="87"/>
      <c r="N4" s="47" t="s">
        <v>14</v>
      </c>
      <c r="O4" s="81" t="s">
        <v>14</v>
      </c>
      <c r="P4" s="87" t="s">
        <v>49</v>
      </c>
      <c r="Q4" s="83"/>
      <c r="R4" s="18" t="s">
        <v>4</v>
      </c>
      <c r="T4" s="17" t="s">
        <v>54</v>
      </c>
      <c r="U4" s="26" t="s">
        <v>26</v>
      </c>
      <c r="V4" s="26" t="s">
        <v>26</v>
      </c>
      <c r="W4" s="22" t="s">
        <v>27</v>
      </c>
      <c r="X4" s="27" t="s">
        <v>9</v>
      </c>
      <c r="Y4" s="27" t="s">
        <v>9</v>
      </c>
      <c r="Z4" s="28" t="s">
        <v>9</v>
      </c>
      <c r="AA4" s="13" t="s">
        <v>26</v>
      </c>
      <c r="AB4" s="13" t="s">
        <v>9</v>
      </c>
      <c r="AF4" s="81"/>
    </row>
    <row r="5" spans="1:32" ht="18" customHeight="1" thickBot="1" x14ac:dyDescent="0.3">
      <c r="A5" s="76">
        <v>13100</v>
      </c>
      <c r="B5" s="84">
        <f>A5*42*2.95565/1000</f>
        <v>1626.1986299999999</v>
      </c>
      <c r="C5" s="92">
        <f>$A$5*42*0.365/1000</f>
        <v>200.82300000000001</v>
      </c>
      <c r="D5" s="86"/>
      <c r="E5" s="77">
        <v>63</v>
      </c>
      <c r="F5" s="78"/>
      <c r="G5" s="90">
        <v>4</v>
      </c>
      <c r="H5" s="82">
        <v>30</v>
      </c>
      <c r="I5" s="91"/>
      <c r="J5" s="84">
        <f>T13*142/U13</f>
        <v>1499.5636426605959</v>
      </c>
      <c r="K5" s="95"/>
      <c r="L5" s="92">
        <f>0.2 +0.5* $J$5^0.95</f>
        <v>520.35965189186504</v>
      </c>
      <c r="M5" s="93"/>
      <c r="N5" s="84">
        <f>1 +8.7 * $C$5^0.8</f>
        <v>606.02039253560201</v>
      </c>
      <c r="O5" s="85">
        <v>80</v>
      </c>
      <c r="P5" s="88">
        <f>$L$5+$O$5+$N$5</f>
        <v>1206.3800444274671</v>
      </c>
      <c r="Q5" s="86"/>
      <c r="R5" s="79">
        <f>$G$5/100*$P$5/((1-(1+$G$5/100)^-$H$5))</f>
        <v>69.765077562111145</v>
      </c>
      <c r="S5" s="101"/>
      <c r="T5" s="44">
        <f>0.08 * (1-$E$5/100)* $W$5 * (6 + LOG(1/$W$5) + 1/(0.1+$W$5))</f>
        <v>79.978164233564897</v>
      </c>
      <c r="U5" s="30">
        <f>B$5/86.4</f>
        <v>18.821743402777773</v>
      </c>
      <c r="V5" s="31">
        <f>B$5*0.16/86.4</f>
        <v>3.0114789444444443</v>
      </c>
      <c r="W5" s="29">
        <f>U5*47</f>
        <v>884.6219399305553</v>
      </c>
      <c r="X5" s="29">
        <f>0.85*$B$5</f>
        <v>1382.2688354999998</v>
      </c>
      <c r="Y5" s="29">
        <f>0.15*$B$5</f>
        <v>243.92979449999996</v>
      </c>
      <c r="Z5" s="41">
        <f>8.8*Y5*(1+$T5/$W5)</f>
        <v>2340.6534612704177</v>
      </c>
      <c r="AA5" s="42">
        <f>T5*0.03</f>
        <v>2.3993449270069469</v>
      </c>
      <c r="AB5" s="29">
        <f>AA5*86.4</f>
        <v>207.30340169340022</v>
      </c>
      <c r="AC5" s="21"/>
      <c r="AD5" s="13"/>
      <c r="AE5" s="13"/>
      <c r="AF5" s="100"/>
    </row>
    <row r="6" spans="1:32" ht="12.2" customHeight="1" x14ac:dyDescent="0.25">
      <c r="A6" s="69"/>
      <c r="B6" s="70"/>
      <c r="C6" s="69"/>
      <c r="D6" s="71"/>
      <c r="E6" s="70"/>
      <c r="F6" s="69"/>
      <c r="G6" s="71"/>
      <c r="H6" s="70"/>
      <c r="I6" s="70"/>
      <c r="J6" s="69"/>
      <c r="K6" s="72"/>
      <c r="L6" s="71"/>
      <c r="M6" s="71"/>
      <c r="N6" s="73"/>
      <c r="O6" s="74"/>
      <c r="P6" s="75"/>
      <c r="Q6" s="74"/>
      <c r="R6" s="75"/>
      <c r="T6" s="21"/>
      <c r="U6" s="13"/>
      <c r="V6" s="14"/>
      <c r="W6" s="14"/>
      <c r="X6" s="15"/>
      <c r="Y6" s="16"/>
      <c r="Z6" s="17"/>
      <c r="AA6" s="13"/>
      <c r="AB6" s="18"/>
      <c r="AC6" s="18"/>
      <c r="AD6" s="13"/>
      <c r="AE6" s="13"/>
    </row>
    <row r="7" spans="1:32" s="35" customFormat="1" ht="57.75" customHeight="1" x14ac:dyDescent="0.25">
      <c r="A7" s="63" t="s">
        <v>21</v>
      </c>
      <c r="B7" s="112" t="s">
        <v>50</v>
      </c>
      <c r="C7" s="113"/>
      <c r="D7" s="113"/>
      <c r="E7" s="112" t="s">
        <v>47</v>
      </c>
      <c r="F7" s="113"/>
      <c r="G7" s="113"/>
      <c r="H7" s="112" t="s">
        <v>64</v>
      </c>
      <c r="I7" s="113"/>
      <c r="J7" s="113"/>
      <c r="K7" s="113"/>
      <c r="L7" s="64" t="s">
        <v>61</v>
      </c>
      <c r="M7" s="64" t="s">
        <v>12</v>
      </c>
      <c r="N7" s="65" t="s">
        <v>13</v>
      </c>
      <c r="O7" s="66" t="s">
        <v>6</v>
      </c>
      <c r="P7" s="67" t="s">
        <v>18</v>
      </c>
      <c r="Q7" s="68" t="s">
        <v>10</v>
      </c>
      <c r="R7" s="96" t="s">
        <v>19</v>
      </c>
      <c r="S7" s="97"/>
      <c r="T7" s="36" t="s">
        <v>40</v>
      </c>
      <c r="U7" s="33" t="s">
        <v>25</v>
      </c>
      <c r="V7" s="34" t="s">
        <v>36</v>
      </c>
      <c r="W7" s="34" t="s">
        <v>37</v>
      </c>
      <c r="X7" s="35" t="s">
        <v>45</v>
      </c>
      <c r="Y7" s="35" t="s">
        <v>29</v>
      </c>
      <c r="Z7" s="37" t="s">
        <v>39</v>
      </c>
      <c r="AA7" s="25" t="s">
        <v>31</v>
      </c>
      <c r="AB7" s="33" t="s">
        <v>22</v>
      </c>
      <c r="AC7" s="33" t="s">
        <v>58</v>
      </c>
      <c r="AD7" s="35" t="s">
        <v>28</v>
      </c>
      <c r="AE7" s="37" t="s">
        <v>55</v>
      </c>
    </row>
    <row r="8" spans="1:32" s="28" customFormat="1" x14ac:dyDescent="0.25">
      <c r="A8" s="54" t="s">
        <v>20</v>
      </c>
      <c r="B8" s="55" t="s">
        <v>9</v>
      </c>
      <c r="C8" s="54" t="s">
        <v>3</v>
      </c>
      <c r="D8" s="56" t="s">
        <v>4</v>
      </c>
      <c r="E8" s="55" t="s">
        <v>0</v>
      </c>
      <c r="F8" s="54" t="s">
        <v>5</v>
      </c>
      <c r="G8" s="56" t="s">
        <v>4</v>
      </c>
      <c r="H8" s="55" t="s">
        <v>9</v>
      </c>
      <c r="I8" s="57" t="s">
        <v>11</v>
      </c>
      <c r="J8" s="54" t="s">
        <v>1</v>
      </c>
      <c r="K8" s="58" t="s">
        <v>4</v>
      </c>
      <c r="L8" s="59" t="s">
        <v>20</v>
      </c>
      <c r="M8" s="59" t="s">
        <v>1</v>
      </c>
      <c r="N8" s="55" t="s">
        <v>11</v>
      </c>
      <c r="O8" s="56" t="s">
        <v>4</v>
      </c>
      <c r="P8" s="60" t="s">
        <v>4</v>
      </c>
      <c r="Q8" s="61" t="s">
        <v>4</v>
      </c>
      <c r="R8" s="62" t="s">
        <v>2</v>
      </c>
      <c r="S8" s="98"/>
      <c r="T8" s="39" t="s">
        <v>26</v>
      </c>
      <c r="V8" s="38" t="s">
        <v>26</v>
      </c>
      <c r="W8" s="38" t="s">
        <v>26</v>
      </c>
      <c r="X8" s="19" t="s">
        <v>0</v>
      </c>
      <c r="Y8" s="28" t="s">
        <v>0</v>
      </c>
      <c r="Z8" s="48"/>
      <c r="AA8" s="22" t="s">
        <v>9</v>
      </c>
      <c r="AB8" s="22" t="s">
        <v>9</v>
      </c>
      <c r="AC8" s="22" t="s">
        <v>9</v>
      </c>
      <c r="AD8" s="28" t="s">
        <v>26</v>
      </c>
    </row>
    <row r="9" spans="1:32" x14ac:dyDescent="0.25">
      <c r="A9" s="29">
        <v>12</v>
      </c>
      <c r="B9" s="45">
        <f>0.1+6.75*$C$5 * (100.1-A9) /$E$5</f>
        <v>1895.7256749999999</v>
      </c>
      <c r="C9" s="5">
        <v>4</v>
      </c>
      <c r="D9" s="29">
        <f>B9*C9*0.01825</f>
        <v>138.38797427499998</v>
      </c>
      <c r="E9" s="46">
        <f>0.05+ 4.65*A9*($C$5+0.01)/$E$5</f>
        <v>177.93065714285717</v>
      </c>
      <c r="F9" s="4">
        <v>50</v>
      </c>
      <c r="G9" s="29">
        <f>E9*F9 *0.00876</f>
        <v>77.933627828571446</v>
      </c>
      <c r="H9" s="45">
        <f>6.1 * T9 * 86.4 * (1+A9/5500) + $AB$5*44/12 - 0.5*B9</f>
        <v>583.48004913134343</v>
      </c>
      <c r="I9" s="41">
        <f>H9*0.365</f>
        <v>212.97021793294036</v>
      </c>
      <c r="J9" s="6">
        <v>-30</v>
      </c>
      <c r="K9" s="30">
        <f>I9*J9*0.001</f>
        <v>-6.3891065379882113</v>
      </c>
      <c r="L9" s="46">
        <f>100*$W$5/(Y9+E9)</f>
        <v>65.976290820857869</v>
      </c>
      <c r="M9" s="49">
        <v>100</v>
      </c>
      <c r="N9" s="46">
        <f>(V9-W9)*86.4*0.365</f>
        <v>119.07917071010804</v>
      </c>
      <c r="O9" s="29">
        <f>M9*N9/1000</f>
        <v>11.907917071010804</v>
      </c>
      <c r="P9" s="53">
        <f>0.3 + (A9+30)*$C$5^0.8/550</f>
        <v>5.6105238216291085</v>
      </c>
      <c r="Q9" s="52">
        <f>D9+G9+K9 - O9 + $R$5+ P9</f>
        <v>273.40017987831266</v>
      </c>
      <c r="R9" s="50">
        <f>Q9/$C$5</f>
        <v>1.3613987435618065</v>
      </c>
      <c r="S9" s="99"/>
      <c r="T9" s="30">
        <f>$U$5*(1+1.1*$T$5/$W$5) *0.441*(A9+4)/100</f>
        <v>1.4601384952479228</v>
      </c>
      <c r="U9" s="31">
        <f>0.94-A9*0.0012</f>
        <v>0.92559999999999998</v>
      </c>
      <c r="V9" s="32">
        <f>T9*8</f>
        <v>11.681107961983383</v>
      </c>
      <c r="W9" s="32">
        <f>(0.38+A9/300)*$U$5</f>
        <v>7.9051322291666644</v>
      </c>
      <c r="X9" s="43">
        <f>T9*142/U9</f>
        <v>224.00568963397259</v>
      </c>
      <c r="Y9" s="41">
        <f>AD9*53</f>
        <v>1162.8872774884258</v>
      </c>
      <c r="Z9" s="40">
        <f>T9*86.4</f>
        <v>126.15596598942054</v>
      </c>
      <c r="AA9" s="41">
        <f>9/8 * V9 * 86.4</f>
        <v>1135.4036939047849</v>
      </c>
      <c r="AB9" s="29">
        <f>12/16*0.955*$B9 + 0.015*$B9 + 12/44*$H9</f>
        <v>1545.380322334116</v>
      </c>
      <c r="AC9" s="29">
        <f>AB9-$X$5-$AB$5</f>
        <v>-44.191914859283969</v>
      </c>
      <c r="AD9" s="30">
        <f>B9/86.4</f>
        <v>21.941269386574071</v>
      </c>
      <c r="AE9" s="30">
        <f>142/3.6/U9</f>
        <v>42.615000480169016</v>
      </c>
    </row>
    <row r="10" spans="1:32" x14ac:dyDescent="0.25">
      <c r="A10" s="29">
        <v>25</v>
      </c>
      <c r="B10" s="45">
        <f>0.1+6.75*$C$5 * (100.1-A10) /$E$5</f>
        <v>1616.0079250000001</v>
      </c>
      <c r="C10" s="5">
        <v>4</v>
      </c>
      <c r="D10" s="29">
        <f t="shared" ref="D10:D13" si="0">B10*C10*0.01825</f>
        <v>117.968578525</v>
      </c>
      <c r="E10" s="46">
        <f>0.05+ 4.65*A10*($C$5+0.01)/$E$5</f>
        <v>370.63470238095243</v>
      </c>
      <c r="F10" s="4">
        <v>40</v>
      </c>
      <c r="G10" s="29">
        <f t="shared" ref="G10:G13" si="1">E10*F10 *0.00876</f>
        <v>129.87039971428572</v>
      </c>
      <c r="H10" s="45">
        <f>6.1 * T10 * 86.4 * (1+A10/5500) + $AB$5*44/12 - 0.5*B10</f>
        <v>1353.2604634325612</v>
      </c>
      <c r="I10" s="41">
        <f t="shared" ref="I10:I13" si="2">H10*0.365</f>
        <v>493.9400691528848</v>
      </c>
      <c r="J10" s="6">
        <v>-30</v>
      </c>
      <c r="K10" s="29">
        <f>I10*J10*0.001</f>
        <v>-14.818202074586544</v>
      </c>
      <c r="L10" s="46">
        <f>100*$W$5/(Y10+E10)</f>
        <v>64.953274663028466</v>
      </c>
      <c r="M10" s="49">
        <v>100</v>
      </c>
      <c r="N10" s="45">
        <f t="shared" ref="N10:N13" si="3">(V10-W10)*86.4*0.365</f>
        <v>392.66315835550824</v>
      </c>
      <c r="O10" s="29">
        <f>M10*N10/1000</f>
        <v>39.266315835550827</v>
      </c>
      <c r="P10" s="53">
        <f>0.3 + (A10+30)*$C$5^0.8/550</f>
        <v>7.2542573854666896</v>
      </c>
      <c r="Q10" s="52">
        <f>D10+G10+K10 - O10 + $R$5+ P10</f>
        <v>270.77379527672616</v>
      </c>
      <c r="R10" s="50">
        <f>Q10/$C$5</f>
        <v>1.34832063696253</v>
      </c>
      <c r="S10" s="99"/>
      <c r="T10" s="30">
        <f>$U$5*(1+1.1*$T$5/$W$5) *0.441*(A10+4)/100</f>
        <v>2.6465010226368602</v>
      </c>
      <c r="U10" s="31">
        <f>0.94-A10*0.0012</f>
        <v>0.90999999999999992</v>
      </c>
      <c r="V10" s="32">
        <f>T10*8</f>
        <v>21.172008181094881</v>
      </c>
      <c r="W10" s="32">
        <f>(0.38+A10/300)*$U$5</f>
        <v>8.7207411099537016</v>
      </c>
      <c r="X10" s="43">
        <f>T10*142/U10</f>
        <v>412.97048924663096</v>
      </c>
      <c r="Y10" s="41">
        <f>AD10*53</f>
        <v>991.30115769675933</v>
      </c>
      <c r="Z10" s="40">
        <f>T10*86.4</f>
        <v>228.65768835582475</v>
      </c>
      <c r="AA10" s="41">
        <f t="shared" ref="AA10:AA13" si="4">9/8 * V10 * 86.4</f>
        <v>2057.9191952024225</v>
      </c>
      <c r="AB10" s="29">
        <f t="shared" ref="AB10:AB13" si="5">12/16*0.955*$B10 + 0.015*$B10 + 12/44*$H10</f>
        <v>1550.7768306378575</v>
      </c>
      <c r="AC10" s="29">
        <f>AB10-$X$5-$AB$5</f>
        <v>-38.795406555542485</v>
      </c>
      <c r="AD10" s="30">
        <f>B10/86.4</f>
        <v>18.703795428240742</v>
      </c>
      <c r="AE10" s="30">
        <f>142/3.6/U10</f>
        <v>43.345543345543348</v>
      </c>
    </row>
    <row r="11" spans="1:32" x14ac:dyDescent="0.25">
      <c r="A11" s="29">
        <v>50</v>
      </c>
      <c r="B11" s="45">
        <f>0.1+6.75*$C$5 * (100.1-A11) /$E$5</f>
        <v>1078.0891749999998</v>
      </c>
      <c r="C11" s="5">
        <v>4</v>
      </c>
      <c r="D11" s="29">
        <f t="shared" si="0"/>
        <v>78.700509774999986</v>
      </c>
      <c r="E11" s="45">
        <f>0.05+ 4.65*A11*($C$5+0.01)/$E$5</f>
        <v>741.2194047619048</v>
      </c>
      <c r="F11" s="4">
        <v>25</v>
      </c>
      <c r="G11" s="29">
        <f t="shared" si="1"/>
        <v>162.32704964285713</v>
      </c>
      <c r="H11" s="45">
        <f>6.1 * T11 * 86.4 * (1+A11/5500) + $AB$5*44/12 - 0.5*B11</f>
        <v>2841.9150710903341</v>
      </c>
      <c r="I11" s="41">
        <f t="shared" si="2"/>
        <v>1037.299000947972</v>
      </c>
      <c r="J11" s="6">
        <v>-30</v>
      </c>
      <c r="K11" s="29">
        <f>I11*J11*0.001</f>
        <v>-31.118970028439158</v>
      </c>
      <c r="L11" s="46">
        <f>100*$W$5/(Y11+E11)</f>
        <v>63.072522987842277</v>
      </c>
      <c r="M11" s="49">
        <v>50</v>
      </c>
      <c r="N11" s="45">
        <f t="shared" si="3"/>
        <v>918.78621151973948</v>
      </c>
      <c r="O11" s="41">
        <f>M11*N11/1000</f>
        <v>45.939310575986973</v>
      </c>
      <c r="P11" s="53">
        <f>0.3 + (A11+30)*$C$5^0.8/550</f>
        <v>10.415283469769731</v>
      </c>
      <c r="Q11" s="52">
        <f>D11+G11+K11 - O11 + $R$5+ P11</f>
        <v>244.14963984531184</v>
      </c>
      <c r="R11" s="50">
        <f>Q11/$C$5</f>
        <v>1.2157454068772593</v>
      </c>
      <c r="S11" s="99"/>
      <c r="T11" s="30">
        <f>$U$5*(1+1.1*$T$5/$W$5) *0.441*(A11+4)/100</f>
        <v>4.9279674214617391</v>
      </c>
      <c r="U11" s="31">
        <f>0.94-A11*0.0012</f>
        <v>0.87999999999999989</v>
      </c>
      <c r="V11" s="32">
        <f>T11*8</f>
        <v>39.423739371693912</v>
      </c>
      <c r="W11" s="32">
        <f>(0.38+A11/300)*$U$5</f>
        <v>10.289219726851849</v>
      </c>
      <c r="X11" s="43">
        <f>T11*142/U11</f>
        <v>795.19474300859883</v>
      </c>
      <c r="Y11" s="41">
        <f>AD11*53</f>
        <v>661.32785040509248</v>
      </c>
      <c r="Z11" s="40">
        <f>T11*86.4</f>
        <v>425.77638521429429</v>
      </c>
      <c r="AA11" s="41">
        <f t="shared" si="4"/>
        <v>3831.9874669286482</v>
      </c>
      <c r="AB11" s="29">
        <f t="shared" si="5"/>
        <v>1563.4204558797501</v>
      </c>
      <c r="AC11" s="29">
        <f>AB11-$X$5-$AB$5</f>
        <v>-26.151781313649934</v>
      </c>
      <c r="AD11" s="30">
        <f>B11/86.4</f>
        <v>12.477883969907404</v>
      </c>
      <c r="AE11" s="30">
        <f>142/3.6/U11</f>
        <v>44.823232323232325</v>
      </c>
    </row>
    <row r="12" spans="1:32" x14ac:dyDescent="0.25">
      <c r="A12" s="29">
        <v>75</v>
      </c>
      <c r="B12" s="45">
        <f>0.1+6.75*$C$5 * (100.1-A12) /$E$5</f>
        <v>540.17042499999991</v>
      </c>
      <c r="C12" s="5">
        <v>4</v>
      </c>
      <c r="D12" s="29">
        <f t="shared" si="0"/>
        <v>39.432441024999989</v>
      </c>
      <c r="E12" s="45">
        <f>0.05+ 4.65*A12*($C$5+0.01)/$E$5</f>
        <v>1111.804107142857</v>
      </c>
      <c r="F12" s="4">
        <v>15</v>
      </c>
      <c r="G12" s="29">
        <f t="shared" si="1"/>
        <v>146.09105967857141</v>
      </c>
      <c r="H12" s="45">
        <f>6.1 * T12 * 86.4 * (1+A12/5500) + $AB$5*44/12 - 0.5*B12</f>
        <v>4341.5008064829854</v>
      </c>
      <c r="I12" s="41">
        <f t="shared" si="2"/>
        <v>1584.6477943662896</v>
      </c>
      <c r="J12" s="6">
        <v>-30</v>
      </c>
      <c r="K12" s="29">
        <f>I12*J12*0.001</f>
        <v>-47.539433830988692</v>
      </c>
      <c r="L12" s="46">
        <f>100*$W$5/(Y12+E12)</f>
        <v>61.297622390543133</v>
      </c>
      <c r="M12" s="49">
        <v>50</v>
      </c>
      <c r="N12" s="45">
        <f t="shared" si="3"/>
        <v>1444.9092646839708</v>
      </c>
      <c r="O12" s="41">
        <f>M12*N12/1000</f>
        <v>72.245463234198539</v>
      </c>
      <c r="P12" s="53">
        <f>0.3 + (A12+30)*$C$5^0.8/550</f>
        <v>13.576309554072774</v>
      </c>
      <c r="Q12" s="52">
        <f>D12+G12+K12 - O12 + $R$5+ P12</f>
        <v>149.07999075456812</v>
      </c>
      <c r="R12" s="50">
        <f>Q12/$C$5</f>
        <v>0.74234520326141984</v>
      </c>
      <c r="S12" s="99"/>
      <c r="T12" s="30">
        <f>$U$5*(1+1.1*$T$5/$W$5) *0.441*(A12+4)/100</f>
        <v>7.2094338202866188</v>
      </c>
      <c r="U12" s="31">
        <f>0.94-A12*0.0012</f>
        <v>0.85</v>
      </c>
      <c r="V12" s="40">
        <f>T12*8</f>
        <v>57.675470562292951</v>
      </c>
      <c r="W12" s="32">
        <f>(0.38+A12/300)*$U$5</f>
        <v>11.857698343749997</v>
      </c>
      <c r="X12" s="43">
        <f>T12*142/U12</f>
        <v>1204.3995323302352</v>
      </c>
      <c r="Y12" s="41">
        <f>AD12*53</f>
        <v>331.35454311342585</v>
      </c>
      <c r="Z12" s="40">
        <f>T12*86.4</f>
        <v>622.8950820727639</v>
      </c>
      <c r="AA12" s="41">
        <f t="shared" si="4"/>
        <v>5606.0557386548744</v>
      </c>
      <c r="AB12" s="29">
        <f t="shared" si="5"/>
        <v>1579.0452977766095</v>
      </c>
      <c r="AC12" s="29">
        <f>AB12-$X$5-$AB$5</f>
        <v>-10.526939416790555</v>
      </c>
      <c r="AD12" s="30">
        <f>B12/86.4</f>
        <v>6.2519725115740723</v>
      </c>
      <c r="AE12" s="30">
        <f>142/3.6/U12</f>
        <v>46.405228758169933</v>
      </c>
    </row>
    <row r="13" spans="1:32" x14ac:dyDescent="0.25">
      <c r="A13" s="102">
        <v>92</v>
      </c>
      <c r="B13" s="103">
        <f>0.1+6.75*$C$5 * (100.1-A13) /$E$5</f>
        <v>174.38567499999988</v>
      </c>
      <c r="C13" s="104">
        <v>4</v>
      </c>
      <c r="D13" s="102">
        <f t="shared" si="0"/>
        <v>12.73015427499999</v>
      </c>
      <c r="E13" s="103">
        <f>0.05+ 4.65*A13*($C$5+0.01)/$E$5</f>
        <v>1363.8017047619048</v>
      </c>
      <c r="F13" s="105">
        <v>10</v>
      </c>
      <c r="G13" s="102">
        <f t="shared" si="1"/>
        <v>119.46902933714287</v>
      </c>
      <c r="H13" s="103">
        <f>6.1 * T13 * 86.4 * (1+A13/5500) + $AB$5*44/12 - 0.5*B13</f>
        <v>5367.4629667121517</v>
      </c>
      <c r="I13" s="106">
        <f t="shared" si="2"/>
        <v>1959.1239828499354</v>
      </c>
      <c r="J13" s="110">
        <v>-30</v>
      </c>
      <c r="K13" s="102">
        <f>I13*J13*0.001</f>
        <v>-58.773719485498063</v>
      </c>
      <c r="L13" s="107">
        <f>100*$W$5/(Y13+E13)</f>
        <v>60.146677871327199</v>
      </c>
      <c r="M13" s="111">
        <v>50</v>
      </c>
      <c r="N13" s="103">
        <f t="shared" si="3"/>
        <v>1802.6729408356482</v>
      </c>
      <c r="O13" s="106">
        <f>M13*N13/1000</f>
        <v>90.13364704178241</v>
      </c>
      <c r="P13" s="108">
        <f>0.3 + (A13+30)*$C$5^0.8/550</f>
        <v>15.725807291398841</v>
      </c>
      <c r="Q13" s="109">
        <f>D13+G13+K13 - O13 + $R$5+ P13</f>
        <v>68.782701938372369</v>
      </c>
      <c r="R13" s="108">
        <f>Q13/$C$5</f>
        <v>0.34250410529855829</v>
      </c>
      <c r="S13" s="99"/>
      <c r="T13" s="30">
        <f>$U$5*(1+1.1*$T$5/$W$5) *0.441*(A13+4)/100</f>
        <v>8.7608309714875379</v>
      </c>
      <c r="U13" s="31">
        <f>0.94-A13*0.0012</f>
        <v>0.8296</v>
      </c>
      <c r="V13" s="40">
        <f>T13*8</f>
        <v>70.086647771900303</v>
      </c>
      <c r="W13" s="32">
        <f>(0.38+A13/300)*$U$5</f>
        <v>12.924263803240738</v>
      </c>
      <c r="X13" s="43">
        <f>T13*142/U13</f>
        <v>1499.5636426605959</v>
      </c>
      <c r="Y13" s="29">
        <f>AD13*53</f>
        <v>106.97269415509251</v>
      </c>
      <c r="Z13" s="40">
        <f>T13*86.4</f>
        <v>756.93579593652328</v>
      </c>
      <c r="AA13" s="41">
        <f t="shared" si="4"/>
        <v>6812.4221634287096</v>
      </c>
      <c r="AB13" s="29">
        <f t="shared" si="5"/>
        <v>1591.3730612197912</v>
      </c>
      <c r="AC13" s="29">
        <f>AB13-$X$5-$AB$5</f>
        <v>1.8008240263912114</v>
      </c>
      <c r="AD13" s="30">
        <f>B13/86.4</f>
        <v>2.0183527199074058</v>
      </c>
      <c r="AE13" s="30">
        <f>142/3.6/U13</f>
        <v>47.546340940747882</v>
      </c>
    </row>
    <row r="15" spans="1:32" x14ac:dyDescent="0.25">
      <c r="H15" s="3"/>
      <c r="S15" s="7"/>
    </row>
    <row r="16" spans="1:32" x14ac:dyDescent="0.25">
      <c r="E16" s="1"/>
      <c r="S16" s="7"/>
    </row>
    <row r="20" spans="2:20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7"/>
      <c r="T20" s="9"/>
    </row>
    <row r="21" spans="2:20" x14ac:dyDescent="0.25">
      <c r="S21" s="7"/>
    </row>
    <row r="22" spans="2:20" x14ac:dyDescent="0.25">
      <c r="S22" s="7"/>
    </row>
  </sheetData>
  <sheetProtection password="FA60" sheet="1" objects="1" scenarios="1"/>
  <mergeCells count="3">
    <mergeCell ref="B7:D7"/>
    <mergeCell ref="E7:G7"/>
    <mergeCell ref="H7:K7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Tundra Yeti</dc:creator>
  <cp:lastModifiedBy>Craig</cp:lastModifiedBy>
  <cp:lastPrinted>2012-04-11T13:34:42Z</cp:lastPrinted>
  <dcterms:created xsi:type="dcterms:W3CDTF">2012-03-09T01:10:14Z</dcterms:created>
  <dcterms:modified xsi:type="dcterms:W3CDTF">2013-11-08T19:57:15Z</dcterms:modified>
</cp:coreProperties>
</file>